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Shannon\Dropbox (Free Flow Wines)\Biz Dev\ROI\"/>
    </mc:Choice>
  </mc:AlternateContent>
  <bookViews>
    <workbookView xWindow="0" yWindow="0" windowWidth="13395" windowHeight="6525" firstSheet="1" activeTab="1"/>
  </bookViews>
  <sheets>
    <sheet name="ROI Calculator_ 4 Wine Example" sheetId="2" r:id="rId1"/>
    <sheet name="ROI Calculator_8 Wine Example" sheetId="1" r:id="rId2"/>
    <sheet name="Sheet2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G14" i="1"/>
  <c r="G13" i="1"/>
  <c r="G12" i="1"/>
  <c r="G11" i="1"/>
  <c r="G10" i="1"/>
  <c r="G9" i="1"/>
  <c r="G8" i="1"/>
  <c r="G7" i="1"/>
  <c r="G18" i="3"/>
  <c r="J12" i="3"/>
  <c r="K12" i="3"/>
  <c r="H12" i="3"/>
  <c r="E12" i="3"/>
  <c r="I12" i="3"/>
  <c r="J11" i="3"/>
  <c r="K11" i="3"/>
  <c r="H11" i="3"/>
  <c r="E11" i="3"/>
  <c r="L11" i="3"/>
  <c r="J10" i="3"/>
  <c r="K10" i="3"/>
  <c r="H10" i="3"/>
  <c r="E10" i="3"/>
  <c r="I10" i="3"/>
  <c r="J9" i="3"/>
  <c r="K9" i="3"/>
  <c r="I9" i="3"/>
  <c r="H9" i="3"/>
  <c r="E9" i="3"/>
  <c r="L9" i="3"/>
  <c r="J8" i="3"/>
  <c r="K8" i="3"/>
  <c r="H8" i="3"/>
  <c r="E8" i="3"/>
  <c r="I8" i="3"/>
  <c r="J7" i="3"/>
  <c r="K7" i="3"/>
  <c r="I7" i="3"/>
  <c r="H7" i="3"/>
  <c r="E7" i="3"/>
  <c r="L7" i="3"/>
  <c r="J6" i="3"/>
  <c r="K6" i="3"/>
  <c r="H6" i="3"/>
  <c r="E6" i="3"/>
  <c r="I6" i="3"/>
  <c r="M5" i="3"/>
  <c r="J5" i="3"/>
  <c r="K5" i="3"/>
  <c r="H5" i="3"/>
  <c r="E5" i="3"/>
  <c r="I5" i="3"/>
  <c r="I11" i="3"/>
  <c r="N5" i="3"/>
  <c r="L6" i="3"/>
  <c r="L8" i="3"/>
  <c r="L10" i="3"/>
  <c r="L12" i="3"/>
  <c r="L5" i="3"/>
  <c r="G14" i="2"/>
  <c r="M5" i="2"/>
  <c r="J8" i="2"/>
  <c r="K8" i="2"/>
  <c r="H8" i="2"/>
  <c r="E8" i="2"/>
  <c r="L8" i="2"/>
  <c r="J7" i="2"/>
  <c r="K7" i="2"/>
  <c r="H7" i="2"/>
  <c r="E7" i="2"/>
  <c r="I7" i="2"/>
  <c r="J6" i="2"/>
  <c r="K6" i="2"/>
  <c r="H6" i="2"/>
  <c r="E6" i="2"/>
  <c r="L6" i="2"/>
  <c r="J5" i="2"/>
  <c r="H5" i="2"/>
  <c r="E5" i="2"/>
  <c r="I5" i="2"/>
  <c r="K5" i="2"/>
  <c r="K9" i="2"/>
  <c r="J9" i="2"/>
  <c r="I8" i="2"/>
  <c r="I9" i="2"/>
  <c r="I6" i="2"/>
  <c r="L5" i="2"/>
  <c r="N5" i="2"/>
  <c r="L7" i="2"/>
  <c r="D20" i="1"/>
  <c r="J14" i="1"/>
  <c r="K14" i="1"/>
  <c r="I14" i="1"/>
  <c r="H14" i="1"/>
  <c r="L14" i="1"/>
  <c r="J13" i="1"/>
  <c r="K13" i="1"/>
  <c r="H13" i="1"/>
  <c r="I13" i="1"/>
  <c r="J12" i="1"/>
  <c r="K12" i="1"/>
  <c r="I12" i="1"/>
  <c r="H12" i="1"/>
  <c r="L12" i="1"/>
  <c r="J11" i="1"/>
  <c r="K11" i="1"/>
  <c r="H11" i="1"/>
  <c r="I11" i="1"/>
  <c r="J10" i="1"/>
  <c r="K10" i="1"/>
  <c r="I10" i="1"/>
  <c r="H10" i="1"/>
  <c r="L10" i="1"/>
  <c r="J9" i="1"/>
  <c r="K9" i="1"/>
  <c r="H9" i="1"/>
  <c r="I9" i="1"/>
  <c r="J8" i="1"/>
  <c r="K8" i="1"/>
  <c r="L8" i="1"/>
  <c r="J7" i="1"/>
  <c r="L7" i="1"/>
  <c r="K7" i="1"/>
  <c r="K15" i="1"/>
  <c r="J15" i="1"/>
  <c r="I15" i="1"/>
  <c r="L9" i="1"/>
  <c r="L11" i="1"/>
  <c r="L13" i="1"/>
  <c r="L15" i="1"/>
  <c r="N7" i="1"/>
</calcChain>
</file>

<file path=xl/comments1.xml><?xml version="1.0" encoding="utf-8"?>
<comments xmlns="http://schemas.openxmlformats.org/spreadsheetml/2006/main">
  <authors>
    <author>tcarrick</author>
  </authors>
  <commentList>
    <comment ref="G13" authorId="0" shapeId="0">
      <text>
        <r>
          <rPr>
            <b/>
            <sz val="12"/>
            <color indexed="81"/>
            <rFont val="Calibri"/>
            <family val="2"/>
            <scheme val="minor"/>
          </rPr>
          <t>Assumption:</t>
        </r>
        <r>
          <rPr>
            <sz val="12"/>
            <color indexed="81"/>
            <rFont val="Calibri"/>
            <family val="2"/>
            <scheme val="minor"/>
          </rPr>
          <t xml:space="preserve">
Spoilage tpyically ranges from 5% - 10%</t>
        </r>
      </text>
    </comment>
    <comment ref="G16" authorId="0" shapeId="0">
      <text>
        <r>
          <rPr>
            <b/>
            <sz val="12"/>
            <color indexed="81"/>
            <rFont val="Calibri"/>
            <family val="2"/>
            <scheme val="minor"/>
          </rPr>
          <t>Assumption:</t>
        </r>
        <r>
          <rPr>
            <sz val="12"/>
            <color indexed="81"/>
            <rFont val="Calibri"/>
            <family val="2"/>
            <scheme val="minor"/>
          </rPr>
          <t xml:space="preserve">
Savings tpyically range fom $.25 - $.75 per bottle</t>
        </r>
      </text>
    </comment>
  </commentList>
</comments>
</file>

<file path=xl/comments2.xml><?xml version="1.0" encoding="utf-8"?>
<comments xmlns="http://schemas.openxmlformats.org/spreadsheetml/2006/main">
  <authors>
    <author>tcarrick</author>
  </authors>
  <commentList>
    <comment ref="D19" authorId="0" shapeId="0">
      <text>
        <r>
          <rPr>
            <b/>
            <sz val="12"/>
            <color indexed="81"/>
            <rFont val="Calibri"/>
            <family val="2"/>
            <scheme val="minor"/>
          </rPr>
          <t>Assumption:</t>
        </r>
        <r>
          <rPr>
            <sz val="12"/>
            <color indexed="81"/>
            <rFont val="Calibri"/>
            <family val="2"/>
            <scheme val="minor"/>
          </rPr>
          <t xml:space="preserve">
Spoilage typically ranges from 5% - 10%</t>
        </r>
      </text>
    </comment>
    <comment ref="D22" authorId="0" shapeId="0">
      <text>
        <r>
          <rPr>
            <b/>
            <sz val="12"/>
            <color indexed="81"/>
            <rFont val="Calibri"/>
            <family val="2"/>
            <scheme val="minor"/>
          </rPr>
          <t>Assumption:</t>
        </r>
        <r>
          <rPr>
            <sz val="12"/>
            <color indexed="81"/>
            <rFont val="Calibri"/>
            <family val="2"/>
            <scheme val="minor"/>
          </rPr>
          <t xml:space="preserve">
Savings tpyically range fom $.25 - $.75 per bottle</t>
        </r>
      </text>
    </comment>
  </commentList>
</comments>
</file>

<file path=xl/comments3.xml><?xml version="1.0" encoding="utf-8"?>
<comments xmlns="http://schemas.openxmlformats.org/spreadsheetml/2006/main">
  <authors>
    <author>tcarrick</author>
  </authors>
  <commentList>
    <comment ref="G17" authorId="0" shapeId="0">
      <text>
        <r>
          <rPr>
            <b/>
            <sz val="12"/>
            <color indexed="81"/>
            <rFont val="Calibri"/>
            <family val="2"/>
            <scheme val="minor"/>
          </rPr>
          <t>Assumption:</t>
        </r>
        <r>
          <rPr>
            <sz val="12"/>
            <color indexed="81"/>
            <rFont val="Calibri"/>
            <family val="2"/>
            <scheme val="minor"/>
          </rPr>
          <t xml:space="preserve">
Spoilage tpyically ranges from 5% - 20%</t>
        </r>
      </text>
    </comment>
    <comment ref="G20" authorId="0" shapeId="0">
      <text>
        <r>
          <rPr>
            <b/>
            <sz val="12"/>
            <color indexed="81"/>
            <rFont val="Calibri"/>
            <family val="2"/>
            <scheme val="minor"/>
          </rPr>
          <t>Assumption:</t>
        </r>
        <r>
          <rPr>
            <sz val="12"/>
            <color indexed="81"/>
            <rFont val="Calibri"/>
            <family val="2"/>
            <scheme val="minor"/>
          </rPr>
          <t xml:space="preserve">
Savings tpyically range fom $.25 - $.75 per bottle</t>
        </r>
      </text>
    </comment>
  </commentList>
</comments>
</file>

<file path=xl/sharedStrings.xml><?xml version="1.0" encoding="utf-8"?>
<sst xmlns="http://schemas.openxmlformats.org/spreadsheetml/2006/main" count="104" uniqueCount="75">
  <si>
    <t>Data Calculations (This will Auto-Populate)</t>
  </si>
  <si>
    <t>Cost / Bottle</t>
  </si>
  <si>
    <t>Price you Charge / Glass</t>
  </si>
  <si>
    <t>Monthly Bottles Purchased</t>
  </si>
  <si>
    <t>Cost / Keg</t>
  </si>
  <si>
    <t>$ per Month Saved from Spoilage</t>
  </si>
  <si>
    <t>Revenue Increase from 0% Spoilage</t>
  </si>
  <si>
    <t>Savings in Cost of Goods</t>
  </si>
  <si>
    <t>Bottles Saved from Landfill</t>
  </si>
  <si>
    <t>Assumptions:</t>
  </si>
  <si>
    <t>Current % Spoilage</t>
  </si>
  <si>
    <t>Cases sold per year (Wines 1 - 8)</t>
  </si>
  <si>
    <t>Ounces / Pour</t>
  </si>
  <si>
    <t>Cost / Bottle Savings</t>
  </si>
  <si>
    <t>4 White Wines</t>
  </si>
  <si>
    <t>4 Red Wines</t>
  </si>
  <si>
    <t>Estimated Cost of Equipment/Installation</t>
  </si>
  <si>
    <t>Glasses Sold/Monthly</t>
  </si>
  <si>
    <t>Return on Investment (Number of Months)</t>
  </si>
  <si>
    <t>Glass Pours Gained from Eliminated Loss and Spoilage</t>
  </si>
  <si>
    <t>Savings from Reduced Cost of Goods (Wine Costs)</t>
  </si>
  <si>
    <t>Operator Input</t>
  </si>
  <si>
    <t xml:space="preserve">Cost / Bottle </t>
  </si>
  <si>
    <t>Wine 1 (Pinot Grigio)</t>
  </si>
  <si>
    <t>Wine 2 (House Chardonnay)</t>
  </si>
  <si>
    <t xml:space="preserve"> Wine List (Example)</t>
  </si>
  <si>
    <t>Wine 3 (Chardonnay)</t>
  </si>
  <si>
    <t>Wine 4 (Sauvignon Blanc)</t>
  </si>
  <si>
    <t>Wine 5 (Pinot Noir)</t>
  </si>
  <si>
    <t>Wine 6 (Merlot)</t>
  </si>
  <si>
    <t>Wine 7 (House Cabernet)</t>
  </si>
  <si>
    <t>Wine 8 (Malbec)</t>
  </si>
  <si>
    <t>Revenue Increase from Decreased Spoilage</t>
  </si>
  <si>
    <t xml:space="preserve"> Monthly Dollar Savings from Spoilage</t>
  </si>
  <si>
    <t>Wine 2 (House White)</t>
  </si>
  <si>
    <t>Wine 4 (House Red)</t>
  </si>
  <si>
    <t>Wine 3 Pinot Noir</t>
  </si>
  <si>
    <t>Data Calculations: What do they Mean?</t>
  </si>
  <si>
    <t>$7.00 (example)</t>
  </si>
  <si>
    <t>4 (example)</t>
  </si>
  <si>
    <t>Restaurant Specific Information (Operator to Input)</t>
  </si>
  <si>
    <t>Estimated Cost of Equipment and Installation</t>
  </si>
  <si>
    <t>(Monthly) revenue increase (dollars that hit your bottom line) from an increased number of glasses sold due to eliminated waste and spoilage.</t>
  </si>
  <si>
    <t xml:space="preserve">Glasses of wine NOT lost to bottle waste and spoilage. </t>
  </si>
  <si>
    <t>Glass Pours Gained from Eliminated Loss &amp; Spoilage</t>
  </si>
  <si>
    <t>Glass Pours Gained from Eliminated Bottle Loss and Spoilage</t>
  </si>
  <si>
    <t>Return on Investment (in Months)</t>
  </si>
  <si>
    <t>The amount of time it will take to make your initial investment (equipment and installation costs) back.</t>
  </si>
  <si>
    <t>Data Calculations (Will Auto-Populate with Operator Input)</t>
  </si>
  <si>
    <t>Price you Charge Per Glass</t>
  </si>
  <si>
    <t>Estimated Cost of Equipment &amp; Installation</t>
  </si>
  <si>
    <t xml:space="preserve">Glasses Sold/Monthly </t>
  </si>
  <si>
    <t>Revenue increased from decreased spoilage.</t>
  </si>
  <si>
    <t>Return on Investment (in months)</t>
  </si>
  <si>
    <t>Glasses of wine NOT lost to bottle waste and spoilage.</t>
  </si>
  <si>
    <t>The number of bottles saved in your restaurant alone by using kegs vs. bottles. Remember, each keg = 26 bottles you don't have to throw away!</t>
  </si>
  <si>
    <t>$7 (example)</t>
  </si>
  <si>
    <t>$4.5 (example)</t>
  </si>
  <si>
    <t xml:space="preserve">Cost per Bottle </t>
  </si>
  <si>
    <t># Glasses Sold per Month</t>
  </si>
  <si>
    <t>Glass Pours Gained from Eliminated Wine Loss and Spoilage</t>
  </si>
  <si>
    <t xml:space="preserve">Current % Spoilage </t>
  </si>
  <si>
    <t>White Wine 1 (Pinot Grigio)</t>
  </si>
  <si>
    <t>White Wine 2 (House Chardonnay)</t>
  </si>
  <si>
    <t>White Wine 3 (Chardonnay)</t>
  </si>
  <si>
    <t>White Wine 4 (Sauvignon Blanc)</t>
  </si>
  <si>
    <t>Red Wine 5 (Pinot Noir)</t>
  </si>
  <si>
    <t>Red Wine 6 (Merlot)</t>
  </si>
  <si>
    <t>Red Wine 7 (House Cabernet)</t>
  </si>
  <si>
    <t>Red Wine 8 (Malbec)</t>
  </si>
  <si>
    <t>Monthly Revenue Increase from Decreased Spoilage</t>
  </si>
  <si>
    <t>Revenue increase from increased # of glasses sold due to eliminated waste and spoilage.</t>
  </si>
  <si>
    <t>The # of bottles saved by using kegs vs bottles. Each keg = 26 bottles you didn't have to throw away!</t>
  </si>
  <si>
    <t>Wine On Tap ROI Calculator</t>
  </si>
  <si>
    <t xml:space="preserve">The amount of time it will take to recoup your initial equipment &amp; installation investment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</si>
</sst>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/>
    <xf numFmtId="1" fontId="4" fillId="0" borderId="0" xfId="0" applyNumberFormat="1" applyFont="1"/>
    <xf numFmtId="9" fontId="3" fillId="3" borderId="18" xfId="3" applyFont="1" applyFill="1" applyBorder="1" applyAlignment="1" applyProtection="1">
      <alignment horizontal="center"/>
      <protection locked="0"/>
    </xf>
    <xf numFmtId="1" fontId="3" fillId="2" borderId="25" xfId="0" applyNumberFormat="1" applyFont="1" applyFill="1" applyBorder="1" applyAlignment="1" applyProtection="1">
      <alignment horizontal="center"/>
    </xf>
    <xf numFmtId="0" fontId="3" fillId="3" borderId="42" xfId="0" applyFont="1" applyFill="1" applyBorder="1" applyAlignment="1" applyProtection="1">
      <alignment horizontal="center"/>
      <protection locked="0"/>
    </xf>
    <xf numFmtId="0" fontId="3" fillId="3" borderId="33" xfId="0" applyFont="1" applyFill="1" applyBorder="1" applyAlignment="1" applyProtection="1">
      <alignment horizontal="center"/>
      <protection locked="0"/>
    </xf>
    <xf numFmtId="0" fontId="0" fillId="0" borderId="0" xfId="0" applyFont="1"/>
    <xf numFmtId="0" fontId="0" fillId="0" borderId="15" xfId="0" applyFont="1" applyFill="1" applyBorder="1"/>
    <xf numFmtId="8" fontId="0" fillId="3" borderId="16" xfId="2" applyNumberFormat="1" applyFont="1" applyFill="1" applyBorder="1" applyAlignment="1" applyProtection="1">
      <alignment horizontal="center" vertical="center"/>
      <protection locked="0"/>
    </xf>
    <xf numFmtId="44" fontId="0" fillId="3" borderId="17" xfId="2" applyFont="1" applyFill="1" applyBorder="1" applyAlignment="1" applyProtection="1">
      <alignment horizontal="center" vertical="center"/>
      <protection locked="0"/>
    </xf>
    <xf numFmtId="1" fontId="0" fillId="3" borderId="17" xfId="0" applyNumberFormat="1" applyFont="1" applyFill="1" applyBorder="1" applyAlignment="1" applyProtection="1">
      <alignment horizontal="center" vertical="center"/>
    </xf>
    <xf numFmtId="1" fontId="0" fillId="3" borderId="18" xfId="0" applyNumberFormat="1" applyFont="1" applyFill="1" applyBorder="1" applyAlignment="1" applyProtection="1">
      <alignment horizontal="center" vertical="center"/>
      <protection locked="0"/>
    </xf>
    <xf numFmtId="44" fontId="0" fillId="2" borderId="19" xfId="2" applyFont="1" applyFill="1" applyBorder="1" applyAlignment="1">
      <alignment horizontal="center" vertical="center"/>
    </xf>
    <xf numFmtId="164" fontId="0" fillId="2" borderId="20" xfId="2" applyNumberFormat="1" applyFont="1" applyFill="1" applyBorder="1" applyAlignment="1">
      <alignment horizontal="center" vertical="center"/>
    </xf>
    <xf numFmtId="1" fontId="0" fillId="2" borderId="20" xfId="0" applyNumberFormat="1" applyFont="1" applyFill="1" applyBorder="1" applyAlignment="1">
      <alignment horizontal="center" vertical="center"/>
    </xf>
    <xf numFmtId="44" fontId="0" fillId="2" borderId="17" xfId="2" applyFont="1" applyFill="1" applyBorder="1" applyAlignment="1">
      <alignment horizontal="center" vertical="center"/>
    </xf>
    <xf numFmtId="44" fontId="0" fillId="2" borderId="21" xfId="2" applyFont="1" applyFill="1" applyBorder="1" applyAlignment="1">
      <alignment horizontal="center" vertical="center"/>
    </xf>
    <xf numFmtId="8" fontId="0" fillId="3" borderId="23" xfId="2" applyNumberFormat="1" applyFont="1" applyFill="1" applyBorder="1" applyAlignment="1" applyProtection="1">
      <alignment horizontal="center" vertical="center"/>
      <protection locked="0"/>
    </xf>
    <xf numFmtId="44" fontId="0" fillId="3" borderId="24" xfId="2" applyFont="1" applyFill="1" applyBorder="1" applyAlignment="1" applyProtection="1">
      <alignment horizontal="center" vertical="center"/>
      <protection locked="0"/>
    </xf>
    <xf numFmtId="1" fontId="0" fillId="3" borderId="24" xfId="0" applyNumberFormat="1" applyFont="1" applyFill="1" applyBorder="1" applyAlignment="1" applyProtection="1">
      <alignment horizontal="center" vertical="center"/>
    </xf>
    <xf numFmtId="1" fontId="0" fillId="3" borderId="25" xfId="0" applyNumberFormat="1" applyFont="1" applyFill="1" applyBorder="1" applyAlignment="1" applyProtection="1">
      <alignment horizontal="center" vertical="center"/>
      <protection locked="0"/>
    </xf>
    <xf numFmtId="44" fontId="0" fillId="2" borderId="26" xfId="2" applyFont="1" applyFill="1" applyBorder="1" applyAlignment="1">
      <alignment horizontal="center" vertical="center"/>
    </xf>
    <xf numFmtId="164" fontId="0" fillId="2" borderId="24" xfId="2" applyNumberFormat="1" applyFont="1" applyFill="1" applyBorder="1" applyAlignment="1">
      <alignment horizontal="center" vertical="center"/>
    </xf>
    <xf numFmtId="1" fontId="0" fillId="2" borderId="24" xfId="0" applyNumberFormat="1" applyFont="1" applyFill="1" applyBorder="1" applyAlignment="1">
      <alignment horizontal="center" vertical="center"/>
    </xf>
    <xf numFmtId="44" fontId="0" fillId="2" borderId="24" xfId="2" applyFont="1" applyFill="1" applyBorder="1" applyAlignment="1">
      <alignment horizontal="center" vertical="center"/>
    </xf>
    <xf numFmtId="44" fontId="0" fillId="2" borderId="27" xfId="2" applyFont="1" applyFill="1" applyBorder="1" applyAlignment="1">
      <alignment horizontal="center" vertical="center"/>
    </xf>
    <xf numFmtId="0" fontId="0" fillId="0" borderId="30" xfId="0" applyFont="1" applyFill="1" applyBorder="1"/>
    <xf numFmtId="8" fontId="0" fillId="3" borderId="31" xfId="2" applyNumberFormat="1" applyFont="1" applyFill="1" applyBorder="1" applyAlignment="1" applyProtection="1">
      <alignment horizontal="center" vertical="center"/>
      <protection locked="0"/>
    </xf>
    <xf numFmtId="44" fontId="0" fillId="3" borderId="32" xfId="2" applyFont="1" applyFill="1" applyBorder="1" applyAlignment="1" applyProtection="1">
      <alignment horizontal="center" vertical="center"/>
      <protection locked="0"/>
    </xf>
    <xf numFmtId="1" fontId="0" fillId="3" borderId="32" xfId="0" applyNumberFormat="1" applyFont="1" applyFill="1" applyBorder="1" applyAlignment="1" applyProtection="1">
      <alignment horizontal="center" vertical="center"/>
    </xf>
    <xf numFmtId="1" fontId="0" fillId="3" borderId="33" xfId="0" applyNumberFormat="1" applyFont="1" applyFill="1" applyBorder="1" applyAlignment="1" applyProtection="1">
      <alignment horizontal="center" vertical="center"/>
      <protection locked="0"/>
    </xf>
    <xf numFmtId="44" fontId="0" fillId="2" borderId="34" xfId="2" applyFont="1" applyFill="1" applyBorder="1" applyAlignment="1">
      <alignment horizontal="center" vertical="center"/>
    </xf>
    <xf numFmtId="164" fontId="0" fillId="2" borderId="32" xfId="2" applyNumberFormat="1" applyFont="1" applyFill="1" applyBorder="1" applyAlignment="1">
      <alignment horizontal="center" vertical="center"/>
    </xf>
    <xf numFmtId="1" fontId="0" fillId="2" borderId="32" xfId="0" applyNumberFormat="1" applyFont="1" applyFill="1" applyBorder="1" applyAlignment="1">
      <alignment horizontal="center" vertical="center"/>
    </xf>
    <xf numFmtId="44" fontId="0" fillId="2" borderId="32" xfId="2" applyFont="1" applyFill="1" applyBorder="1" applyAlignment="1">
      <alignment horizontal="center" vertical="center"/>
    </xf>
    <xf numFmtId="44" fontId="0" fillId="2" borderId="6" xfId="2" applyFont="1" applyFill="1" applyBorder="1" applyAlignment="1">
      <alignment horizontal="center" vertical="center"/>
    </xf>
    <xf numFmtId="0" fontId="0" fillId="4" borderId="9" xfId="0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164" fontId="5" fillId="0" borderId="37" xfId="0" applyNumberFormat="1" applyFont="1" applyBorder="1"/>
    <xf numFmtId="1" fontId="5" fillId="0" borderId="38" xfId="0" applyNumberFormat="1" applyFont="1" applyBorder="1"/>
    <xf numFmtId="44" fontId="5" fillId="0" borderId="38" xfId="0" applyNumberFormat="1" applyFont="1" applyBorder="1"/>
    <xf numFmtId="0" fontId="0" fillId="0" borderId="0" xfId="0" applyFont="1" applyAlignment="1">
      <alignment wrapText="1"/>
    </xf>
    <xf numFmtId="0" fontId="0" fillId="0" borderId="7" xfId="0" applyFont="1" applyFill="1" applyBorder="1" applyAlignment="1">
      <alignment wrapText="1"/>
    </xf>
    <xf numFmtId="164" fontId="0" fillId="2" borderId="44" xfId="2" applyNumberFormat="1" applyFont="1" applyFill="1" applyBorder="1" applyAlignment="1">
      <alignment horizontal="center" vertical="center"/>
    </xf>
    <xf numFmtId="1" fontId="0" fillId="2" borderId="44" xfId="0" applyNumberFormat="1" applyFont="1" applyFill="1" applyBorder="1" applyAlignment="1">
      <alignment horizontal="center" vertical="center"/>
    </xf>
    <xf numFmtId="44" fontId="0" fillId="2" borderId="44" xfId="2" applyFont="1" applyFill="1" applyBorder="1" applyAlignment="1">
      <alignment horizontal="center" vertical="center"/>
    </xf>
    <xf numFmtId="44" fontId="0" fillId="2" borderId="5" xfId="2" applyFont="1" applyFill="1" applyBorder="1" applyAlignment="1">
      <alignment horizontal="center" vertical="center"/>
    </xf>
    <xf numFmtId="0" fontId="5" fillId="0" borderId="13" xfId="0" applyFont="1" applyBorder="1"/>
    <xf numFmtId="0" fontId="2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  <protection locked="0"/>
    </xf>
    <xf numFmtId="0" fontId="11" fillId="5" borderId="9" xfId="0" applyFont="1" applyFill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 applyProtection="1">
      <alignment horizontal="center" vertical="center" wrapText="1"/>
      <protection locked="0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15" xfId="0" applyFont="1" applyFill="1" applyBorder="1"/>
    <xf numFmtId="8" fontId="3" fillId="6" borderId="16" xfId="2" applyNumberFormat="1" applyFont="1" applyFill="1" applyBorder="1" applyAlignment="1" applyProtection="1">
      <alignment horizontal="center" vertical="center"/>
      <protection locked="0"/>
    </xf>
    <xf numFmtId="44" fontId="3" fillId="6" borderId="17" xfId="2" applyFont="1" applyFill="1" applyBorder="1" applyAlignment="1" applyProtection="1">
      <alignment horizontal="center" vertical="center"/>
      <protection locked="0"/>
    </xf>
    <xf numFmtId="1" fontId="3" fillId="6" borderId="17" xfId="0" applyNumberFormat="1" applyFont="1" applyFill="1" applyBorder="1" applyAlignment="1" applyProtection="1">
      <alignment horizontal="center" vertical="center"/>
    </xf>
    <xf numFmtId="1" fontId="3" fillId="6" borderId="18" xfId="0" applyNumberFormat="1" applyFont="1" applyFill="1" applyBorder="1" applyAlignment="1" applyProtection="1">
      <alignment horizontal="center" vertical="center"/>
      <protection locked="0"/>
    </xf>
    <xf numFmtId="44" fontId="3" fillId="2" borderId="19" xfId="2" applyFont="1" applyFill="1" applyBorder="1" applyAlignment="1">
      <alignment horizontal="center" vertical="center"/>
    </xf>
    <xf numFmtId="164" fontId="3" fillId="2" borderId="20" xfId="2" applyNumberFormat="1" applyFont="1" applyFill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center" vertical="center"/>
    </xf>
    <xf numFmtId="44" fontId="3" fillId="7" borderId="17" xfId="2" applyFont="1" applyFill="1" applyBorder="1" applyAlignment="1">
      <alignment horizontal="center" vertical="center"/>
    </xf>
    <xf numFmtId="8" fontId="3" fillId="6" borderId="23" xfId="2" applyNumberFormat="1" applyFont="1" applyFill="1" applyBorder="1" applyAlignment="1" applyProtection="1">
      <alignment horizontal="center" vertical="center"/>
      <protection locked="0"/>
    </xf>
    <xf numFmtId="44" fontId="3" fillId="6" borderId="24" xfId="2" applyFont="1" applyFill="1" applyBorder="1" applyAlignment="1" applyProtection="1">
      <alignment horizontal="center" vertical="center"/>
      <protection locked="0"/>
    </xf>
    <xf numFmtId="1" fontId="3" fillId="6" borderId="24" xfId="0" applyNumberFormat="1" applyFont="1" applyFill="1" applyBorder="1" applyAlignment="1" applyProtection="1">
      <alignment horizontal="center" vertical="center"/>
    </xf>
    <xf numFmtId="1" fontId="3" fillId="6" borderId="25" xfId="0" applyNumberFormat="1" applyFont="1" applyFill="1" applyBorder="1" applyAlignment="1" applyProtection="1">
      <alignment horizontal="center" vertical="center"/>
      <protection locked="0"/>
    </xf>
    <xf numFmtId="44" fontId="3" fillId="2" borderId="26" xfId="2" applyFont="1" applyFill="1" applyBorder="1" applyAlignment="1">
      <alignment horizontal="center" vertical="center"/>
    </xf>
    <xf numFmtId="164" fontId="3" fillId="2" borderId="24" xfId="2" applyNumberFormat="1" applyFont="1" applyFill="1" applyBorder="1" applyAlignment="1">
      <alignment horizontal="center" vertical="center"/>
    </xf>
    <xf numFmtId="1" fontId="3" fillId="7" borderId="24" xfId="0" applyNumberFormat="1" applyFont="1" applyFill="1" applyBorder="1" applyAlignment="1">
      <alignment horizontal="center" vertical="center"/>
    </xf>
    <xf numFmtId="44" fontId="3" fillId="7" borderId="24" xfId="2" applyFont="1" applyFill="1" applyBorder="1" applyAlignment="1">
      <alignment horizontal="center" vertical="center"/>
    </xf>
    <xf numFmtId="0" fontId="3" fillId="0" borderId="30" xfId="0" applyFont="1" applyFill="1" applyBorder="1"/>
    <xf numFmtId="8" fontId="3" fillId="6" borderId="31" xfId="2" applyNumberFormat="1" applyFont="1" applyFill="1" applyBorder="1" applyAlignment="1" applyProtection="1">
      <alignment horizontal="center" vertical="center"/>
      <protection locked="0"/>
    </xf>
    <xf numFmtId="44" fontId="3" fillId="6" borderId="32" xfId="2" applyFont="1" applyFill="1" applyBorder="1" applyAlignment="1" applyProtection="1">
      <alignment horizontal="center" vertical="center"/>
      <protection locked="0"/>
    </xf>
    <xf numFmtId="1" fontId="3" fillId="6" borderId="32" xfId="0" applyNumberFormat="1" applyFont="1" applyFill="1" applyBorder="1" applyAlignment="1" applyProtection="1">
      <alignment horizontal="center" vertical="center"/>
    </xf>
    <xf numFmtId="1" fontId="3" fillId="6" borderId="33" xfId="0" applyNumberFormat="1" applyFont="1" applyFill="1" applyBorder="1" applyAlignment="1" applyProtection="1">
      <alignment horizontal="center" vertical="center"/>
      <protection locked="0"/>
    </xf>
    <xf numFmtId="44" fontId="3" fillId="2" borderId="34" xfId="2" applyFont="1" applyFill="1" applyBorder="1" applyAlignment="1">
      <alignment horizontal="center" vertical="center"/>
    </xf>
    <xf numFmtId="164" fontId="3" fillId="2" borderId="32" xfId="2" applyNumberFormat="1" applyFont="1" applyFill="1" applyBorder="1" applyAlignment="1">
      <alignment horizontal="center" vertical="center"/>
    </xf>
    <xf numFmtId="1" fontId="3" fillId="7" borderId="32" xfId="0" applyNumberFormat="1" applyFont="1" applyFill="1" applyBorder="1" applyAlignment="1">
      <alignment horizontal="center" vertical="center"/>
    </xf>
    <xf numFmtId="44" fontId="3" fillId="7" borderId="32" xfId="2" applyFont="1" applyFill="1" applyBorder="1" applyAlignment="1">
      <alignment horizontal="center" vertical="center"/>
    </xf>
    <xf numFmtId="0" fontId="3" fillId="0" borderId="0" xfId="0" applyFont="1"/>
    <xf numFmtId="164" fontId="3" fillId="0" borderId="37" xfId="0" applyNumberFormat="1" applyFont="1" applyBorder="1"/>
    <xf numFmtId="44" fontId="3" fillId="0" borderId="13" xfId="0" applyNumberFormat="1" applyFont="1" applyBorder="1"/>
    <xf numFmtId="0" fontId="13" fillId="0" borderId="0" xfId="0" applyFont="1" applyAlignment="1">
      <alignment horizontal="center"/>
    </xf>
    <xf numFmtId="0" fontId="15" fillId="0" borderId="0" xfId="0" applyFont="1"/>
    <xf numFmtId="9" fontId="9" fillId="0" borderId="18" xfId="3" applyFont="1" applyFill="1" applyBorder="1" applyAlignment="1" applyProtection="1">
      <alignment horizontal="center"/>
      <protection locked="0"/>
    </xf>
    <xf numFmtId="1" fontId="9" fillId="0" borderId="25" xfId="0" applyNumberFormat="1" applyFont="1" applyFill="1" applyBorder="1" applyAlignment="1" applyProtection="1">
      <alignment horizontal="center"/>
    </xf>
    <xf numFmtId="0" fontId="9" fillId="0" borderId="4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0" fontId="0" fillId="0" borderId="4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2" fillId="2" borderId="22" xfId="1" applyNumberFormat="1" applyFont="1" applyFill="1" applyBorder="1" applyAlignment="1">
      <alignment horizontal="center" vertical="center"/>
    </xf>
    <xf numFmtId="165" fontId="2" fillId="2" borderId="28" xfId="1" applyNumberFormat="1" applyFont="1" applyFill="1" applyBorder="1" applyAlignment="1">
      <alignment horizontal="center" vertical="center"/>
    </xf>
    <xf numFmtId="166" fontId="2" fillId="3" borderId="21" xfId="0" applyNumberFormat="1" applyFont="1" applyFill="1" applyBorder="1" applyAlignment="1">
      <alignment horizontal="center" vertical="center"/>
    </xf>
    <xf numFmtId="166" fontId="2" fillId="3" borderId="29" xfId="0" applyNumberFormat="1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44" fontId="0" fillId="3" borderId="17" xfId="2" applyFont="1" applyFill="1" applyBorder="1" applyAlignment="1" applyProtection="1">
      <alignment horizontal="center" vertical="center"/>
      <protection locked="0"/>
    </xf>
    <xf numFmtId="44" fontId="0" fillId="3" borderId="24" xfId="2" applyFont="1" applyFill="1" applyBorder="1" applyAlignment="1" applyProtection="1">
      <alignment horizontal="center" vertical="center"/>
      <protection locked="0"/>
    </xf>
    <xf numFmtId="1" fontId="3" fillId="0" borderId="43" xfId="0" applyNumberFormat="1" applyFont="1" applyFill="1" applyBorder="1" applyAlignment="1" applyProtection="1">
      <alignment horizontal="left" wrapText="1"/>
    </xf>
    <xf numFmtId="0" fontId="3" fillId="0" borderId="43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15" fillId="5" borderId="37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9" fillId="0" borderId="30" xfId="0" applyFont="1" applyBorder="1" applyAlignment="1">
      <alignment horizontal="left"/>
    </xf>
    <xf numFmtId="0" fontId="0" fillId="0" borderId="43" xfId="0" applyBorder="1" applyAlignment="1">
      <alignment horizontal="left"/>
    </xf>
    <xf numFmtId="9" fontId="3" fillId="0" borderId="39" xfId="3" applyFont="1" applyFill="1" applyBorder="1" applyAlignment="1" applyProtection="1">
      <alignment horizontal="left" wrapText="1"/>
      <protection locked="0"/>
    </xf>
    <xf numFmtId="0" fontId="3" fillId="0" borderId="3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" fontId="3" fillId="0" borderId="41" xfId="0" applyNumberFormat="1" applyFont="1" applyFill="1" applyBorder="1" applyAlignment="1" applyProtection="1">
      <alignment horizontal="left" wrapText="1"/>
    </xf>
    <xf numFmtId="0" fontId="3" fillId="0" borderId="41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9" fontId="3" fillId="0" borderId="41" xfId="3" applyFont="1" applyFill="1" applyBorder="1" applyAlignment="1" applyProtection="1">
      <alignment horizontal="left" wrapText="1"/>
      <protection locked="0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44" fontId="3" fillId="6" borderId="17" xfId="2" applyFont="1" applyFill="1" applyBorder="1" applyAlignment="1" applyProtection="1">
      <alignment horizontal="center" vertical="center"/>
      <protection locked="0"/>
    </xf>
    <xf numFmtId="44" fontId="3" fillId="6" borderId="24" xfId="2" applyFont="1" applyFill="1" applyBorder="1" applyAlignment="1" applyProtection="1">
      <alignment horizontal="center" vertical="center"/>
      <protection locked="0"/>
    </xf>
    <xf numFmtId="44" fontId="3" fillId="6" borderId="32" xfId="2" applyFont="1" applyFill="1" applyBorder="1" applyAlignment="1" applyProtection="1">
      <alignment horizontal="center" vertical="center"/>
      <protection locked="0"/>
    </xf>
    <xf numFmtId="3" fontId="12" fillId="7" borderId="21" xfId="0" applyNumberFormat="1" applyFont="1" applyFill="1" applyBorder="1" applyAlignment="1">
      <alignment horizontal="center" vertical="center"/>
    </xf>
    <xf numFmtId="3" fontId="12" fillId="7" borderId="29" xfId="0" applyNumberFormat="1" applyFont="1" applyFill="1" applyBorder="1" applyAlignment="1">
      <alignment horizontal="center" vertical="center"/>
    </xf>
    <xf numFmtId="3" fontId="12" fillId="7" borderId="36" xfId="0" applyNumberFormat="1" applyFont="1" applyFill="1" applyBorder="1" applyAlignment="1">
      <alignment horizontal="center" vertical="center"/>
    </xf>
    <xf numFmtId="166" fontId="12" fillId="6" borderId="21" xfId="0" applyNumberFormat="1" applyFont="1" applyFill="1" applyBorder="1" applyAlignment="1">
      <alignment horizontal="center" vertical="center"/>
    </xf>
    <xf numFmtId="166" fontId="12" fillId="6" borderId="29" xfId="0" applyNumberFormat="1" applyFont="1" applyFill="1" applyBorder="1" applyAlignment="1">
      <alignment horizontal="center" vertical="center"/>
    </xf>
    <xf numFmtId="166" fontId="12" fillId="6" borderId="36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6" borderId="2" xfId="0" applyFont="1" applyFill="1" applyBorder="1" applyAlignment="1" applyProtection="1">
      <alignment horizontal="center" vertical="center"/>
      <protection locked="0"/>
    </xf>
    <xf numFmtId="0" fontId="14" fillId="6" borderId="3" xfId="0" applyFont="1" applyFill="1" applyBorder="1" applyAlignment="1" applyProtection="1">
      <alignment horizontal="center" vertical="center"/>
      <protection locked="0"/>
    </xf>
    <xf numFmtId="0" fontId="14" fillId="6" borderId="4" xfId="0" applyFont="1" applyFill="1" applyBorder="1" applyAlignment="1" applyProtection="1">
      <alignment horizontal="center" vertical="center"/>
      <protection locked="0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4" fillId="6" borderId="5" xfId="0" applyFont="1" applyFill="1" applyBorder="1" applyAlignment="1" applyProtection="1">
      <alignment horizontal="center" vertical="center"/>
      <protection locked="0"/>
    </xf>
    <xf numFmtId="44" fontId="0" fillId="3" borderId="32" xfId="2" applyFont="1" applyFill="1" applyBorder="1" applyAlignment="1" applyProtection="1">
      <alignment horizontal="center" vertical="center"/>
      <protection locked="0"/>
    </xf>
    <xf numFmtId="165" fontId="2" fillId="2" borderId="35" xfId="1" applyNumberFormat="1" applyFont="1" applyFill="1" applyBorder="1" applyAlignment="1">
      <alignment horizontal="center" vertical="center"/>
    </xf>
    <xf numFmtId="166" fontId="2" fillId="3" borderId="36" xfId="0" applyNumberFormat="1" applyFont="1" applyFill="1" applyBorder="1" applyAlignment="1">
      <alignment horizontal="center" vertical="center"/>
    </xf>
    <xf numFmtId="1" fontId="12" fillId="0" borderId="37" xfId="0" applyNumberFormat="1" applyFont="1" applyBorder="1" applyAlignment="1">
      <alignment horizontal="center"/>
    </xf>
    <xf numFmtId="44" fontId="12" fillId="0" borderId="13" xfId="0" applyNumberFormat="1" applyFont="1" applyBorder="1"/>
    <xf numFmtId="0" fontId="9" fillId="0" borderId="39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3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  <color rgb="FFFFFF99"/>
      <color rgb="FFCC99FF"/>
      <color rgb="FFFF33CC"/>
      <color rgb="FFCC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zoomScale="70" zoomScaleNormal="70" workbookViewId="0">
      <selection activeCell="D6" sqref="D6"/>
    </sheetView>
  </sheetViews>
  <sheetFormatPr defaultColWidth="8.85546875" defaultRowHeight="16.5" x14ac:dyDescent="0.3"/>
  <cols>
    <col min="1" max="1" width="4" style="1" customWidth="1"/>
    <col min="2" max="2" width="21.5703125" style="1" bestFit="1" customWidth="1"/>
    <col min="3" max="3" width="16.42578125" style="1" customWidth="1"/>
    <col min="4" max="4" width="18.140625" style="1" customWidth="1"/>
    <col min="5" max="5" width="24.5703125" style="1" hidden="1" customWidth="1"/>
    <col min="6" max="6" width="21.5703125" style="1" customWidth="1"/>
    <col min="7" max="7" width="30.28515625" style="1" customWidth="1"/>
    <col min="8" max="8" width="20.140625" style="1" hidden="1" customWidth="1"/>
    <col min="9" max="9" width="30.42578125" style="1" hidden="1" customWidth="1"/>
    <col min="10" max="10" width="30.42578125" style="1" customWidth="1"/>
    <col min="11" max="11" width="33.140625" style="1" bestFit="1" customWidth="1"/>
    <col min="12" max="12" width="33.140625" style="1" hidden="1" customWidth="1"/>
    <col min="13" max="13" width="26.7109375" style="1" bestFit="1" customWidth="1"/>
    <col min="14" max="14" width="40.7109375" style="1" bestFit="1" customWidth="1"/>
    <col min="15" max="16384" width="8.85546875" style="1"/>
  </cols>
  <sheetData>
    <row r="1" spans="1:14" s="11" customFormat="1" ht="15.75" thickBot="1" x14ac:dyDescent="0.3"/>
    <row r="2" spans="1:14" s="11" customFormat="1" ht="10.9" customHeight="1" x14ac:dyDescent="0.25">
      <c r="C2" s="134" t="s">
        <v>40</v>
      </c>
      <c r="D2" s="135"/>
      <c r="E2" s="135"/>
      <c r="F2" s="135"/>
      <c r="G2" s="136"/>
      <c r="H2" s="111" t="s">
        <v>48</v>
      </c>
      <c r="I2" s="111"/>
      <c r="J2" s="111"/>
      <c r="K2" s="111"/>
      <c r="L2" s="111"/>
      <c r="M2" s="111"/>
      <c r="N2" s="112"/>
    </row>
    <row r="3" spans="1:14" s="11" customFormat="1" ht="24" customHeight="1" thickBot="1" x14ac:dyDescent="0.3">
      <c r="C3" s="137"/>
      <c r="D3" s="138"/>
      <c r="E3" s="138"/>
      <c r="F3" s="138"/>
      <c r="G3" s="139"/>
      <c r="H3" s="113"/>
      <c r="I3" s="113"/>
      <c r="J3" s="113"/>
      <c r="K3" s="113"/>
      <c r="L3" s="113"/>
      <c r="M3" s="113"/>
      <c r="N3" s="114"/>
    </row>
    <row r="4" spans="1:14" s="54" customFormat="1" ht="45.75" thickBot="1" x14ac:dyDescent="0.3">
      <c r="B4" s="55"/>
      <c r="C4" s="45" t="s">
        <v>1</v>
      </c>
      <c r="D4" s="41" t="s">
        <v>49</v>
      </c>
      <c r="E4" s="41" t="s">
        <v>3</v>
      </c>
      <c r="F4" s="41" t="s">
        <v>50</v>
      </c>
      <c r="G4" s="46" t="s">
        <v>51</v>
      </c>
      <c r="H4" s="47" t="s">
        <v>4</v>
      </c>
      <c r="I4" s="44" t="s">
        <v>5</v>
      </c>
      <c r="J4" s="44" t="s">
        <v>45</v>
      </c>
      <c r="K4" s="44" t="s">
        <v>32</v>
      </c>
      <c r="L4" s="48" t="s">
        <v>7</v>
      </c>
      <c r="M4" s="43" t="s">
        <v>8</v>
      </c>
      <c r="N4" s="42" t="s">
        <v>18</v>
      </c>
    </row>
    <row r="5" spans="1:14" s="11" customFormat="1" ht="15" x14ac:dyDescent="0.25">
      <c r="B5" s="12" t="s">
        <v>23</v>
      </c>
      <c r="C5" s="13" t="s">
        <v>56</v>
      </c>
      <c r="D5" s="14">
        <v>8.5</v>
      </c>
      <c r="E5" s="15">
        <f>G5/(25.4/$G$15)</f>
        <v>11.811023622047244</v>
      </c>
      <c r="F5" s="140">
        <v>4000</v>
      </c>
      <c r="G5" s="16">
        <v>60</v>
      </c>
      <c r="H5" s="17" t="e">
        <f>IF(((C5-$G$16)*26)&lt;0,0,(C5-$G$16)*26)</f>
        <v>#VALUE!</v>
      </c>
      <c r="I5" s="18" t="e">
        <f>(C5*$G$13)*E5</f>
        <v>#VALUE!</v>
      </c>
      <c r="J5" s="19">
        <f>(G5*$G$13)</f>
        <v>4.8</v>
      </c>
      <c r="K5" s="20">
        <f>J5*D5</f>
        <v>40.799999999999997</v>
      </c>
      <c r="L5" s="21">
        <f>E5*$G$16</f>
        <v>2.9527559055118111</v>
      </c>
      <c r="M5" s="115">
        <f>G14*12</f>
        <v>604.80000000000007</v>
      </c>
      <c r="N5" s="117" t="e">
        <f>IF(SUM(I5:I8)+SUM(K5:K8)= 0,0,F5/(SUM(I5:I8)+SUM(K5:K8)+SUM(L5:L8)))</f>
        <v>#VALUE!</v>
      </c>
    </row>
    <row r="6" spans="1:14" s="11" customFormat="1" ht="15" x14ac:dyDescent="0.25">
      <c r="B6" s="12" t="s">
        <v>34</v>
      </c>
      <c r="C6" s="22" t="s">
        <v>57</v>
      </c>
      <c r="D6" s="23">
        <v>8</v>
      </c>
      <c r="E6" s="24">
        <f>G6/(25.4/$G$15)</f>
        <v>14.173228346456693</v>
      </c>
      <c r="F6" s="141"/>
      <c r="G6" s="25">
        <v>72</v>
      </c>
      <c r="H6" s="26" t="e">
        <f>IF(((C6-$G$16)*26)&lt;0,0,(C6-$G$16)*26)</f>
        <v>#VALUE!</v>
      </c>
      <c r="I6" s="27" t="e">
        <f>(C6*$G$13)*E6</f>
        <v>#VALUE!</v>
      </c>
      <c r="J6" s="28">
        <f>(G6*$G$13)</f>
        <v>5.76</v>
      </c>
      <c r="K6" s="29">
        <f>J6*D6</f>
        <v>46.08</v>
      </c>
      <c r="L6" s="30">
        <f>E6*$G$16</f>
        <v>3.5433070866141732</v>
      </c>
      <c r="M6" s="116"/>
      <c r="N6" s="118"/>
    </row>
    <row r="7" spans="1:14" s="11" customFormat="1" ht="15" x14ac:dyDescent="0.25">
      <c r="B7" s="12" t="s">
        <v>36</v>
      </c>
      <c r="C7" s="22">
        <v>7.5</v>
      </c>
      <c r="D7" s="23">
        <v>9</v>
      </c>
      <c r="E7" s="24">
        <f>G7/(25.4/$G$15)</f>
        <v>9.4488188976377945</v>
      </c>
      <c r="F7" s="141"/>
      <c r="G7" s="25">
        <v>48</v>
      </c>
      <c r="H7" s="26">
        <f>IF(((C7-$G$16)*26)&lt;0,0,(C7-$G$16)*26)</f>
        <v>188.5</v>
      </c>
      <c r="I7" s="27">
        <f>(C7*$G$13)*E7</f>
        <v>5.6692913385826769</v>
      </c>
      <c r="J7" s="28">
        <f>(G7*$G$13)</f>
        <v>3.84</v>
      </c>
      <c r="K7" s="29">
        <f>J7*D7</f>
        <v>34.56</v>
      </c>
      <c r="L7" s="30">
        <f>E7*$G$16</f>
        <v>2.3622047244094486</v>
      </c>
      <c r="M7" s="116"/>
      <c r="N7" s="118"/>
    </row>
    <row r="8" spans="1:14" s="11" customFormat="1" ht="15.75" thickBot="1" x14ac:dyDescent="0.3">
      <c r="B8" s="12" t="s">
        <v>35</v>
      </c>
      <c r="C8" s="22">
        <v>4.5</v>
      </c>
      <c r="D8" s="23">
        <v>8</v>
      </c>
      <c r="E8" s="24">
        <f>G8/(25.4/$G$15)</f>
        <v>14.173228346456693</v>
      </c>
      <c r="F8" s="141"/>
      <c r="G8" s="25">
        <v>72</v>
      </c>
      <c r="H8" s="26">
        <f>IF(((C8-$G$16)*26)&lt;0,0,(C8-$G$16)*26)</f>
        <v>110.5</v>
      </c>
      <c r="I8" s="56">
        <f>(C8*$G$13)*E8</f>
        <v>5.1023622047244093</v>
      </c>
      <c r="J8" s="57">
        <f>(G8*$G$13)</f>
        <v>5.76</v>
      </c>
      <c r="K8" s="58">
        <f>J8*D8</f>
        <v>46.08</v>
      </c>
      <c r="L8" s="59">
        <f>E8*$G$16</f>
        <v>3.5433070866141732</v>
      </c>
      <c r="M8" s="116"/>
      <c r="N8" s="118"/>
    </row>
    <row r="9" spans="1:14" ht="17.25" thickBot="1" x14ac:dyDescent="0.35">
      <c r="A9" s="2"/>
      <c r="B9" s="2"/>
      <c r="C9" s="2"/>
      <c r="D9" s="2"/>
      <c r="E9" s="2"/>
      <c r="F9" s="2"/>
      <c r="G9" s="2"/>
      <c r="H9" s="2"/>
      <c r="I9" s="51" t="e">
        <f>SUM(I5:I8)</f>
        <v>#VALUE!</v>
      </c>
      <c r="J9" s="52">
        <f>SUM(J5:J8)</f>
        <v>20.159999999999997</v>
      </c>
      <c r="K9" s="53">
        <f>SUM(K5:K8)</f>
        <v>167.51999999999998</v>
      </c>
      <c r="L9" s="60"/>
      <c r="M9" s="2"/>
      <c r="N9" s="2"/>
    </row>
    <row r="10" spans="1:14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0.9" customHeight="1" thickBo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7" thickBot="1" x14ac:dyDescent="0.35">
      <c r="A12" s="2"/>
      <c r="B12" s="2"/>
      <c r="C12" s="2"/>
      <c r="D12" s="119" t="s">
        <v>9</v>
      </c>
      <c r="E12" s="120"/>
      <c r="F12" s="120"/>
      <c r="G12" s="121"/>
      <c r="H12" s="2"/>
      <c r="I12" s="2"/>
      <c r="K12" s="122" t="s">
        <v>37</v>
      </c>
      <c r="L12" s="123"/>
      <c r="M12" s="123"/>
      <c r="N12" s="124"/>
    </row>
    <row r="13" spans="1:14" ht="32.25" x14ac:dyDescent="0.3">
      <c r="A13" s="2"/>
      <c r="B13" s="2"/>
      <c r="C13" s="2"/>
      <c r="D13" s="125" t="s">
        <v>10</v>
      </c>
      <c r="E13" s="126"/>
      <c r="F13" s="127"/>
      <c r="G13" s="7">
        <v>0.08</v>
      </c>
      <c r="H13" s="3"/>
      <c r="I13" s="4"/>
      <c r="K13" s="108" t="s">
        <v>44</v>
      </c>
      <c r="L13" s="109"/>
      <c r="M13" s="110"/>
      <c r="N13" s="62" t="s">
        <v>54</v>
      </c>
    </row>
    <row r="14" spans="1:14" ht="63.75" x14ac:dyDescent="0.3">
      <c r="A14" s="2"/>
      <c r="B14" s="2"/>
      <c r="C14" s="2"/>
      <c r="D14" s="128" t="s">
        <v>11</v>
      </c>
      <c r="E14" s="129"/>
      <c r="F14" s="130"/>
      <c r="G14" s="8">
        <f>SUM(G5:G8)/(660/G15)*2.2*12</f>
        <v>50.400000000000006</v>
      </c>
      <c r="H14" s="5"/>
      <c r="I14" s="2"/>
      <c r="K14" s="108" t="s">
        <v>32</v>
      </c>
      <c r="L14" s="109"/>
      <c r="M14" s="110"/>
      <c r="N14" s="62" t="s">
        <v>42</v>
      </c>
    </row>
    <row r="15" spans="1:14" ht="63.75" x14ac:dyDescent="0.3">
      <c r="A15" s="2"/>
      <c r="B15" s="2"/>
      <c r="C15" s="2"/>
      <c r="D15" s="128" t="s">
        <v>12</v>
      </c>
      <c r="E15" s="129"/>
      <c r="F15" s="130"/>
      <c r="G15" s="9">
        <v>5</v>
      </c>
      <c r="H15" s="5"/>
      <c r="I15" s="2"/>
      <c r="K15" s="108" t="s">
        <v>8</v>
      </c>
      <c r="L15" s="109"/>
      <c r="M15" s="110"/>
      <c r="N15" s="62" t="s">
        <v>55</v>
      </c>
    </row>
    <row r="16" spans="1:14" ht="48.75" thickBot="1" x14ac:dyDescent="0.35">
      <c r="A16" s="2"/>
      <c r="B16" s="2"/>
      <c r="C16" s="2"/>
      <c r="D16" s="131" t="s">
        <v>13</v>
      </c>
      <c r="E16" s="132"/>
      <c r="F16" s="133"/>
      <c r="G16" s="10">
        <v>0.25</v>
      </c>
      <c r="H16" s="3"/>
      <c r="I16" s="4"/>
      <c r="K16" s="108" t="s">
        <v>53</v>
      </c>
      <c r="L16" s="109"/>
      <c r="M16" s="110"/>
      <c r="N16" s="62" t="s">
        <v>47</v>
      </c>
    </row>
    <row r="19" spans="10:10" x14ac:dyDescent="0.3">
      <c r="J19" s="6"/>
    </row>
    <row r="20" spans="10:10" x14ac:dyDescent="0.3">
      <c r="J20" s="6"/>
    </row>
    <row r="21" spans="10:10" x14ac:dyDescent="0.3">
      <c r="J21" s="6"/>
    </row>
    <row r="22" spans="10:10" x14ac:dyDescent="0.3">
      <c r="J22" s="6"/>
    </row>
    <row r="23" spans="10:10" x14ac:dyDescent="0.3">
      <c r="J23" s="6"/>
    </row>
    <row r="24" spans="10:10" x14ac:dyDescent="0.3">
      <c r="J24" s="6"/>
    </row>
    <row r="25" spans="10:10" x14ac:dyDescent="0.3">
      <c r="J25" s="6"/>
    </row>
    <row r="26" spans="10:10" x14ac:dyDescent="0.3">
      <c r="J26" s="6"/>
    </row>
  </sheetData>
  <mergeCells count="15">
    <mergeCell ref="D15:F15"/>
    <mergeCell ref="D16:F16"/>
    <mergeCell ref="C2:G3"/>
    <mergeCell ref="F5:F8"/>
    <mergeCell ref="D12:G12"/>
    <mergeCell ref="K12:N12"/>
    <mergeCell ref="K13:M13"/>
    <mergeCell ref="D13:F13"/>
    <mergeCell ref="D14:F14"/>
    <mergeCell ref="K14:M14"/>
    <mergeCell ref="K15:M15"/>
    <mergeCell ref="K16:M16"/>
    <mergeCell ref="H2:N3"/>
    <mergeCell ref="M5:M8"/>
    <mergeCell ref="N5:N8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22"/>
  <sheetViews>
    <sheetView tabSelected="1" zoomScale="85" zoomScaleNormal="85" workbookViewId="0">
      <selection activeCell="K27" sqref="K27"/>
    </sheetView>
  </sheetViews>
  <sheetFormatPr defaultColWidth="8.85546875" defaultRowHeight="15" x14ac:dyDescent="0.25"/>
  <cols>
    <col min="1" max="1" width="5.7109375" style="11" customWidth="1"/>
    <col min="2" max="2" width="28.140625" style="11" bestFit="1" customWidth="1"/>
    <col min="3" max="3" width="16.42578125" style="11" customWidth="1"/>
    <col min="4" max="4" width="16" style="11" customWidth="1"/>
    <col min="5" max="5" width="16.140625" style="11" customWidth="1"/>
    <col min="6" max="6" width="24.5703125" style="11" customWidth="1"/>
    <col min="7" max="7" width="20.140625" style="11" bestFit="1" customWidth="1"/>
    <col min="8" max="8" width="10.85546875" style="11" hidden="1" customWidth="1"/>
    <col min="9" max="9" width="50.140625" style="11" hidden="1" customWidth="1"/>
    <col min="10" max="10" width="39.7109375" style="11" customWidth="1"/>
    <col min="11" max="11" width="25" style="11" customWidth="1"/>
    <col min="12" max="12" width="49.7109375" style="11" hidden="1" customWidth="1"/>
    <col min="13" max="13" width="31.42578125" style="11" customWidth="1"/>
    <col min="14" max="14" width="34.5703125" style="11" customWidth="1"/>
    <col min="15" max="16384" width="8.85546875" style="11"/>
  </cols>
  <sheetData>
    <row r="2" spans="1:14" ht="28.5" x14ac:dyDescent="0.45">
      <c r="G2" s="102" t="s">
        <v>73</v>
      </c>
    </row>
    <row r="3" spans="1:14" ht="15.75" thickBot="1" x14ac:dyDescent="0.3"/>
    <row r="4" spans="1:14" ht="10.9" customHeight="1" x14ac:dyDescent="0.25">
      <c r="C4" s="176" t="s">
        <v>40</v>
      </c>
      <c r="D4" s="177"/>
      <c r="E4" s="177"/>
      <c r="F4" s="177"/>
      <c r="G4" s="178"/>
      <c r="H4" s="163" t="s">
        <v>48</v>
      </c>
      <c r="I4" s="163"/>
      <c r="J4" s="163"/>
      <c r="K4" s="163"/>
      <c r="L4" s="163"/>
      <c r="M4" s="163"/>
      <c r="N4" s="164"/>
    </row>
    <row r="5" spans="1:14" ht="24" customHeight="1" thickBot="1" x14ac:dyDescent="0.3">
      <c r="C5" s="179"/>
      <c r="D5" s="180"/>
      <c r="E5" s="180"/>
      <c r="F5" s="180"/>
      <c r="G5" s="181"/>
      <c r="H5" s="165"/>
      <c r="I5" s="165"/>
      <c r="J5" s="165"/>
      <c r="K5" s="165"/>
      <c r="L5" s="165"/>
      <c r="M5" s="165"/>
      <c r="N5" s="166"/>
    </row>
    <row r="6" spans="1:14" s="61" customFormat="1" ht="48" thickBot="1" x14ac:dyDescent="0.3">
      <c r="B6" s="63" t="s">
        <v>25</v>
      </c>
      <c r="C6" s="64" t="s">
        <v>58</v>
      </c>
      <c r="D6" s="65" t="s">
        <v>49</v>
      </c>
      <c r="E6" s="65" t="s">
        <v>3</v>
      </c>
      <c r="F6" s="65" t="s">
        <v>41</v>
      </c>
      <c r="G6" s="66" t="s">
        <v>59</v>
      </c>
      <c r="H6" s="67" t="s">
        <v>4</v>
      </c>
      <c r="I6" s="68" t="s">
        <v>33</v>
      </c>
      <c r="J6" s="68" t="s">
        <v>60</v>
      </c>
      <c r="K6" s="68" t="s">
        <v>70</v>
      </c>
      <c r="L6" s="69" t="s">
        <v>20</v>
      </c>
      <c r="M6" s="70" t="s">
        <v>8</v>
      </c>
      <c r="N6" s="71" t="s">
        <v>18</v>
      </c>
    </row>
    <row r="7" spans="1:14" ht="15.75" customHeight="1" x14ac:dyDescent="0.25">
      <c r="A7" s="72"/>
      <c r="B7" s="73" t="s">
        <v>62</v>
      </c>
      <c r="C7" s="74" t="s">
        <v>38</v>
      </c>
      <c r="D7" s="75">
        <v>8.5</v>
      </c>
      <c r="E7" s="76">
        <v>36</v>
      </c>
      <c r="F7" s="167">
        <v>7500</v>
      </c>
      <c r="G7" s="77">
        <f t="shared" ref="G7:G14" si="0">E7*4</f>
        <v>144</v>
      </c>
      <c r="H7" s="78">
        <v>201.5</v>
      </c>
      <c r="I7" s="79">
        <v>15</v>
      </c>
      <c r="J7" s="80">
        <f t="shared" ref="J7:J14" si="1">(G7*$D$19)</f>
        <v>11.52</v>
      </c>
      <c r="K7" s="81">
        <f t="shared" ref="K7:K14" si="2">J7*D7</f>
        <v>97.92</v>
      </c>
      <c r="L7" s="21">
        <f t="shared" ref="L7:L14" si="3">E7*$D$22</f>
        <v>9</v>
      </c>
      <c r="M7" s="170">
        <f>D20*12</f>
        <v>3340.7999999999997</v>
      </c>
      <c r="N7" s="173">
        <f>IF(SUM(I7:I14)+SUM(K7:K14)= 0,0,F7/(SUM(I7:I14)+SUM(K7:K14)+SUM(L7:L14)))</f>
        <v>5.9821969817822156</v>
      </c>
    </row>
    <row r="8" spans="1:14" ht="15.75" customHeight="1" x14ac:dyDescent="0.25">
      <c r="B8" s="73" t="s">
        <v>63</v>
      </c>
      <c r="C8" s="82" t="s">
        <v>39</v>
      </c>
      <c r="D8" s="83">
        <v>8</v>
      </c>
      <c r="E8" s="84">
        <v>72</v>
      </c>
      <c r="F8" s="168"/>
      <c r="G8" s="85">
        <f t="shared" si="0"/>
        <v>288</v>
      </c>
      <c r="H8" s="86">
        <v>123.5</v>
      </c>
      <c r="I8" s="87">
        <v>29</v>
      </c>
      <c r="J8" s="88">
        <f t="shared" si="1"/>
        <v>23.04</v>
      </c>
      <c r="K8" s="89">
        <f t="shared" si="2"/>
        <v>184.32</v>
      </c>
      <c r="L8" s="30">
        <f t="shared" si="3"/>
        <v>18</v>
      </c>
      <c r="M8" s="171"/>
      <c r="N8" s="174"/>
    </row>
    <row r="9" spans="1:14" ht="15.75" customHeight="1" x14ac:dyDescent="0.25">
      <c r="B9" s="73" t="s">
        <v>64</v>
      </c>
      <c r="C9" s="82">
        <v>9</v>
      </c>
      <c r="D9" s="83">
        <v>11</v>
      </c>
      <c r="E9" s="84">
        <v>24</v>
      </c>
      <c r="F9" s="168"/>
      <c r="G9" s="85">
        <f t="shared" si="0"/>
        <v>96</v>
      </c>
      <c r="H9" s="86">
        <f t="shared" ref="H9:H14" si="4">IF(((C9-$D$22)*26)&lt;0,0,(C9-$D$22)*26)</f>
        <v>227.5</v>
      </c>
      <c r="I9" s="87">
        <f t="shared" ref="I9:I14" si="5">(C9*$D$19)*E9</f>
        <v>17.28</v>
      </c>
      <c r="J9" s="88">
        <f t="shared" si="1"/>
        <v>7.68</v>
      </c>
      <c r="K9" s="89">
        <f t="shared" si="2"/>
        <v>84.47999999999999</v>
      </c>
      <c r="L9" s="30">
        <f t="shared" si="3"/>
        <v>6</v>
      </c>
      <c r="M9" s="171"/>
      <c r="N9" s="174"/>
    </row>
    <row r="10" spans="1:14" ht="15.75" customHeight="1" x14ac:dyDescent="0.25">
      <c r="A10" s="72"/>
      <c r="B10" s="73" t="s">
        <v>65</v>
      </c>
      <c r="C10" s="82">
        <v>8</v>
      </c>
      <c r="D10" s="83">
        <v>10</v>
      </c>
      <c r="E10" s="84">
        <v>36</v>
      </c>
      <c r="F10" s="168"/>
      <c r="G10" s="85">
        <f t="shared" si="0"/>
        <v>144</v>
      </c>
      <c r="H10" s="86">
        <f t="shared" si="4"/>
        <v>201.5</v>
      </c>
      <c r="I10" s="87">
        <f t="shared" si="5"/>
        <v>23.04</v>
      </c>
      <c r="J10" s="88">
        <f t="shared" si="1"/>
        <v>11.52</v>
      </c>
      <c r="K10" s="89">
        <f t="shared" si="2"/>
        <v>115.19999999999999</v>
      </c>
      <c r="L10" s="30">
        <f t="shared" si="3"/>
        <v>9</v>
      </c>
      <c r="M10" s="171"/>
      <c r="N10" s="174"/>
    </row>
    <row r="11" spans="1:14" ht="15.75" customHeight="1" x14ac:dyDescent="0.25">
      <c r="A11" s="72"/>
      <c r="B11" s="73" t="s">
        <v>66</v>
      </c>
      <c r="C11" s="82">
        <v>7.5</v>
      </c>
      <c r="D11" s="83">
        <v>9</v>
      </c>
      <c r="E11" s="84">
        <v>48</v>
      </c>
      <c r="F11" s="168"/>
      <c r="G11" s="85">
        <f t="shared" si="0"/>
        <v>192</v>
      </c>
      <c r="H11" s="86">
        <f t="shared" si="4"/>
        <v>188.5</v>
      </c>
      <c r="I11" s="87">
        <f t="shared" si="5"/>
        <v>28.799999999999997</v>
      </c>
      <c r="J11" s="88">
        <f t="shared" si="1"/>
        <v>15.36</v>
      </c>
      <c r="K11" s="89">
        <f t="shared" si="2"/>
        <v>138.24</v>
      </c>
      <c r="L11" s="30">
        <f t="shared" si="3"/>
        <v>12</v>
      </c>
      <c r="M11" s="171"/>
      <c r="N11" s="174"/>
    </row>
    <row r="12" spans="1:14" ht="15.75" customHeight="1" x14ac:dyDescent="0.25">
      <c r="B12" s="73" t="s">
        <v>67</v>
      </c>
      <c r="C12" s="82">
        <v>8</v>
      </c>
      <c r="D12" s="83">
        <v>8.5</v>
      </c>
      <c r="E12" s="84">
        <v>24</v>
      </c>
      <c r="F12" s="168"/>
      <c r="G12" s="85">
        <f t="shared" si="0"/>
        <v>96</v>
      </c>
      <c r="H12" s="86">
        <f t="shared" si="4"/>
        <v>201.5</v>
      </c>
      <c r="I12" s="87">
        <f t="shared" si="5"/>
        <v>15.36</v>
      </c>
      <c r="J12" s="88">
        <f t="shared" si="1"/>
        <v>7.68</v>
      </c>
      <c r="K12" s="89">
        <f t="shared" si="2"/>
        <v>65.28</v>
      </c>
      <c r="L12" s="30">
        <f t="shared" si="3"/>
        <v>6</v>
      </c>
      <c r="M12" s="171"/>
      <c r="N12" s="174"/>
    </row>
    <row r="13" spans="1:14" ht="15.75" customHeight="1" x14ac:dyDescent="0.25">
      <c r="B13" s="73" t="s">
        <v>68</v>
      </c>
      <c r="C13" s="82">
        <v>5</v>
      </c>
      <c r="D13" s="83">
        <v>8</v>
      </c>
      <c r="E13" s="84">
        <v>72</v>
      </c>
      <c r="F13" s="168"/>
      <c r="G13" s="85">
        <f t="shared" si="0"/>
        <v>288</v>
      </c>
      <c r="H13" s="86">
        <f t="shared" si="4"/>
        <v>123.5</v>
      </c>
      <c r="I13" s="87">
        <f t="shared" si="5"/>
        <v>28.8</v>
      </c>
      <c r="J13" s="88">
        <f t="shared" si="1"/>
        <v>23.04</v>
      </c>
      <c r="K13" s="89">
        <f t="shared" si="2"/>
        <v>184.32</v>
      </c>
      <c r="L13" s="30">
        <f t="shared" si="3"/>
        <v>18</v>
      </c>
      <c r="M13" s="171"/>
      <c r="N13" s="174"/>
    </row>
    <row r="14" spans="1:14" ht="16.149999999999999" customHeight="1" thickBot="1" x14ac:dyDescent="0.3">
      <c r="B14" s="90" t="s">
        <v>69</v>
      </c>
      <c r="C14" s="91">
        <v>8.5</v>
      </c>
      <c r="D14" s="92">
        <v>10</v>
      </c>
      <c r="E14" s="93">
        <v>36</v>
      </c>
      <c r="F14" s="169"/>
      <c r="G14" s="94">
        <f t="shared" si="0"/>
        <v>144</v>
      </c>
      <c r="H14" s="95">
        <f t="shared" si="4"/>
        <v>214.5</v>
      </c>
      <c r="I14" s="96">
        <f t="shared" si="5"/>
        <v>24.48</v>
      </c>
      <c r="J14" s="97">
        <f t="shared" si="1"/>
        <v>11.52</v>
      </c>
      <c r="K14" s="98">
        <f t="shared" si="2"/>
        <v>115.19999999999999</v>
      </c>
      <c r="L14" s="40">
        <f t="shared" si="3"/>
        <v>9</v>
      </c>
      <c r="M14" s="172"/>
      <c r="N14" s="175"/>
    </row>
    <row r="15" spans="1:14" ht="18.75" customHeight="1" thickBot="1" x14ac:dyDescent="0.35">
      <c r="A15" s="99"/>
      <c r="B15" s="99"/>
      <c r="C15" s="99"/>
      <c r="D15" s="99"/>
      <c r="E15" s="99"/>
      <c r="F15" s="99"/>
      <c r="G15" s="99"/>
      <c r="H15" s="99"/>
      <c r="I15" s="100">
        <f>SUM(I7:I14)</f>
        <v>181.76</v>
      </c>
      <c r="J15" s="185">
        <f>SUM(J7:J14)</f>
        <v>111.36</v>
      </c>
      <c r="K15" s="186">
        <f>SUM(K7:K14)</f>
        <v>984.96</v>
      </c>
      <c r="L15" s="101">
        <f>SUM(L7:L14)</f>
        <v>87</v>
      </c>
      <c r="M15" s="99"/>
      <c r="N15" s="99"/>
    </row>
    <row r="16" spans="1:14" ht="15.75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4" ht="10.9" customHeight="1" thickBot="1" x14ac:dyDescent="0.3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ht="21.75" thickBot="1" x14ac:dyDescent="0.4">
      <c r="A18" s="99"/>
      <c r="B18" s="145" t="s">
        <v>9</v>
      </c>
      <c r="C18" s="146"/>
      <c r="D18" s="147"/>
      <c r="E18" s="103"/>
      <c r="F18" s="103"/>
      <c r="G18" s="145" t="s">
        <v>37</v>
      </c>
      <c r="H18" s="148"/>
      <c r="I18" s="148"/>
      <c r="J18" s="148"/>
      <c r="K18" s="148"/>
      <c r="L18" s="148"/>
      <c r="M18" s="148"/>
      <c r="N18" s="149"/>
    </row>
    <row r="19" spans="1:14" ht="22.5" customHeight="1" x14ac:dyDescent="0.3">
      <c r="A19" s="99"/>
      <c r="B19" s="150" t="s">
        <v>61</v>
      </c>
      <c r="C19" s="151"/>
      <c r="D19" s="104">
        <v>0.08</v>
      </c>
      <c r="G19" s="150" t="s">
        <v>44</v>
      </c>
      <c r="H19" s="187"/>
      <c r="I19" s="187"/>
      <c r="J19" s="187"/>
      <c r="K19" s="156" t="s">
        <v>43</v>
      </c>
      <c r="L19" s="157"/>
      <c r="M19" s="157"/>
      <c r="N19" s="158"/>
    </row>
    <row r="20" spans="1:14" ht="16.5" customHeight="1" x14ac:dyDescent="0.3">
      <c r="A20" s="99"/>
      <c r="B20" s="152" t="s">
        <v>11</v>
      </c>
      <c r="C20" s="153"/>
      <c r="D20" s="105">
        <f>SUM(G7:G14)/(660/D21)*2.2*12</f>
        <v>278.39999999999998</v>
      </c>
      <c r="G20" s="152" t="s">
        <v>52</v>
      </c>
      <c r="H20" s="188"/>
      <c r="I20" s="188"/>
      <c r="J20" s="188"/>
      <c r="K20" s="159" t="s">
        <v>71</v>
      </c>
      <c r="L20" s="160"/>
      <c r="M20" s="160"/>
      <c r="N20" s="161"/>
    </row>
    <row r="21" spans="1:14" ht="31.5" customHeight="1" x14ac:dyDescent="0.3">
      <c r="A21" s="99"/>
      <c r="B21" s="152" t="s">
        <v>12</v>
      </c>
      <c r="C21" s="153"/>
      <c r="D21" s="106">
        <v>5</v>
      </c>
      <c r="G21" s="152" t="s">
        <v>8</v>
      </c>
      <c r="H21" s="188"/>
      <c r="I21" s="188"/>
      <c r="J21" s="188"/>
      <c r="K21" s="162" t="s">
        <v>72</v>
      </c>
      <c r="L21" s="160"/>
      <c r="M21" s="160"/>
      <c r="N21" s="161"/>
    </row>
    <row r="22" spans="1:14" ht="18" customHeight="1" thickBot="1" x14ac:dyDescent="0.35">
      <c r="A22" s="99"/>
      <c r="B22" s="154" t="s">
        <v>13</v>
      </c>
      <c r="C22" s="155"/>
      <c r="D22" s="107">
        <v>0.25</v>
      </c>
      <c r="G22" s="154" t="s">
        <v>46</v>
      </c>
      <c r="H22" s="189"/>
      <c r="I22" s="189"/>
      <c r="J22" s="189"/>
      <c r="K22" s="142" t="s">
        <v>74</v>
      </c>
      <c r="L22" s="143"/>
      <c r="M22" s="143"/>
      <c r="N22" s="144"/>
    </row>
  </sheetData>
  <mergeCells count="19">
    <mergeCell ref="H4:N5"/>
    <mergeCell ref="F7:F14"/>
    <mergeCell ref="M7:M14"/>
    <mergeCell ref="N7:N14"/>
    <mergeCell ref="C4:G5"/>
    <mergeCell ref="K22:N22"/>
    <mergeCell ref="B18:D18"/>
    <mergeCell ref="G18:N18"/>
    <mergeCell ref="B19:C19"/>
    <mergeCell ref="B20:C20"/>
    <mergeCell ref="B21:C21"/>
    <mergeCell ref="B22:C22"/>
    <mergeCell ref="K19:N19"/>
    <mergeCell ref="K20:N20"/>
    <mergeCell ref="K21:N21"/>
    <mergeCell ref="G19:J19"/>
    <mergeCell ref="G20:J20"/>
    <mergeCell ref="G21:J21"/>
    <mergeCell ref="G22:J22"/>
  </mergeCells>
  <pageMargins left="0.7" right="0.7" top="0.75" bottom="0.75" header="0.3" footer="0.3"/>
  <pageSetup scale="4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"/>
  <sheetViews>
    <sheetView zoomScale="70" zoomScaleNormal="70" workbookViewId="0">
      <selection activeCell="D5" sqref="D5"/>
    </sheetView>
  </sheetViews>
  <sheetFormatPr defaultColWidth="8.85546875" defaultRowHeight="16.5" x14ac:dyDescent="0.3"/>
  <cols>
    <col min="1" max="1" width="21.7109375" style="1" customWidth="1"/>
    <col min="2" max="2" width="28.140625" style="1" bestFit="1" customWidth="1"/>
    <col min="3" max="3" width="16.42578125" style="1" customWidth="1"/>
    <col min="4" max="4" width="22.42578125" style="1" customWidth="1"/>
    <col min="5" max="5" width="24.5703125" style="1" hidden="1" customWidth="1"/>
    <col min="6" max="6" width="21.5703125" style="1" customWidth="1"/>
    <col min="7" max="7" width="20.140625" style="1" bestFit="1" customWidth="1"/>
    <col min="8" max="8" width="23.140625" style="1" customWidth="1"/>
    <col min="9" max="9" width="30.42578125" style="1" bestFit="1" customWidth="1"/>
    <col min="10" max="10" width="30.42578125" style="1" customWidth="1"/>
    <col min="11" max="11" width="33.140625" style="1" bestFit="1" customWidth="1"/>
    <col min="12" max="12" width="33.140625" style="1" customWidth="1"/>
    <col min="13" max="13" width="25.140625" style="1" bestFit="1" customWidth="1"/>
    <col min="14" max="14" width="29.42578125" style="1" bestFit="1" customWidth="1"/>
    <col min="15" max="16384" width="8.85546875" style="1"/>
  </cols>
  <sheetData>
    <row r="1" spans="1:14" s="11" customFormat="1" ht="15.75" thickBot="1" x14ac:dyDescent="0.3"/>
    <row r="2" spans="1:14" s="11" customFormat="1" ht="10.9" customHeight="1" x14ac:dyDescent="0.25">
      <c r="C2" s="134" t="s">
        <v>21</v>
      </c>
      <c r="D2" s="135"/>
      <c r="E2" s="135"/>
      <c r="F2" s="135"/>
      <c r="G2" s="136"/>
      <c r="H2" s="111" t="s">
        <v>0</v>
      </c>
      <c r="I2" s="111"/>
      <c r="J2" s="111"/>
      <c r="K2" s="111"/>
      <c r="L2" s="111"/>
      <c r="M2" s="111"/>
      <c r="N2" s="112"/>
    </row>
    <row r="3" spans="1:14" s="11" customFormat="1" ht="24" customHeight="1" thickBot="1" x14ac:dyDescent="0.3">
      <c r="C3" s="137"/>
      <c r="D3" s="138"/>
      <c r="E3" s="138"/>
      <c r="F3" s="138"/>
      <c r="G3" s="139"/>
      <c r="H3" s="113"/>
      <c r="I3" s="113"/>
      <c r="J3" s="113"/>
      <c r="K3" s="113"/>
      <c r="L3" s="113"/>
      <c r="M3" s="113"/>
      <c r="N3" s="114"/>
    </row>
    <row r="4" spans="1:14" s="49" customFormat="1" ht="45.75" thickBot="1" x14ac:dyDescent="0.3">
      <c r="B4" s="50" t="s">
        <v>25</v>
      </c>
      <c r="C4" s="45" t="s">
        <v>22</v>
      </c>
      <c r="D4" s="41" t="s">
        <v>2</v>
      </c>
      <c r="E4" s="41" t="s">
        <v>3</v>
      </c>
      <c r="F4" s="41" t="s">
        <v>16</v>
      </c>
      <c r="G4" s="46" t="s">
        <v>17</v>
      </c>
      <c r="H4" s="47" t="s">
        <v>4</v>
      </c>
      <c r="I4" s="44" t="s">
        <v>5</v>
      </c>
      <c r="J4" s="44" t="s">
        <v>19</v>
      </c>
      <c r="K4" s="44" t="s">
        <v>6</v>
      </c>
      <c r="L4" s="48" t="s">
        <v>20</v>
      </c>
      <c r="M4" s="43" t="s">
        <v>8</v>
      </c>
      <c r="N4" s="42" t="s">
        <v>18</v>
      </c>
    </row>
    <row r="5" spans="1:14" s="11" customFormat="1" ht="15" x14ac:dyDescent="0.25">
      <c r="B5" s="12" t="s">
        <v>23</v>
      </c>
      <c r="C5" s="13"/>
      <c r="D5" s="14"/>
      <c r="E5" s="15">
        <f t="shared" ref="E5:E12" si="0">G5/(25.4/$G$19)</f>
        <v>0</v>
      </c>
      <c r="F5" s="140">
        <v>7500</v>
      </c>
      <c r="G5" s="16"/>
      <c r="H5" s="17">
        <f t="shared" ref="H5:H12" si="1">IF(((C5-$G$20)*26)&lt;0,0,(C5-$G$20)*26)</f>
        <v>0</v>
      </c>
      <c r="I5" s="18">
        <f t="shared" ref="I5:I12" si="2">(C5*$G$17)*E5</f>
        <v>0</v>
      </c>
      <c r="J5" s="19">
        <f t="shared" ref="J5:J12" si="3">(G5*$G$17)</f>
        <v>0</v>
      </c>
      <c r="K5" s="20">
        <f t="shared" ref="K5:K12" si="4">J5*D5</f>
        <v>0</v>
      </c>
      <c r="L5" s="21">
        <f t="shared" ref="L5:L12" si="5">E5*$G$20</f>
        <v>0</v>
      </c>
      <c r="M5" s="115">
        <f>G18*12</f>
        <v>0</v>
      </c>
      <c r="N5" s="117">
        <f>IF(SUM(I5:I12)+SUM(K5:K12)= 0,0,F5/(SUM(I5:I12)+SUM(K5:K12)+SUM(L5:L12)))</f>
        <v>0</v>
      </c>
    </row>
    <row r="6" spans="1:14" s="11" customFormat="1" ht="15" x14ac:dyDescent="0.25">
      <c r="B6" s="12" t="s">
        <v>24</v>
      </c>
      <c r="C6" s="22"/>
      <c r="D6" s="23"/>
      <c r="E6" s="24">
        <f t="shared" si="0"/>
        <v>0</v>
      </c>
      <c r="F6" s="141"/>
      <c r="G6" s="25"/>
      <c r="H6" s="26">
        <f t="shared" si="1"/>
        <v>0</v>
      </c>
      <c r="I6" s="27">
        <f t="shared" si="2"/>
        <v>0</v>
      </c>
      <c r="J6" s="28">
        <f t="shared" si="3"/>
        <v>0</v>
      </c>
      <c r="K6" s="29">
        <f t="shared" si="4"/>
        <v>0</v>
      </c>
      <c r="L6" s="30">
        <f t="shared" si="5"/>
        <v>0</v>
      </c>
      <c r="M6" s="116"/>
      <c r="N6" s="118"/>
    </row>
    <row r="7" spans="1:14" s="11" customFormat="1" ht="15" x14ac:dyDescent="0.25">
      <c r="A7" s="11" t="s">
        <v>14</v>
      </c>
      <c r="B7" s="12" t="s">
        <v>26</v>
      </c>
      <c r="C7" s="22"/>
      <c r="D7" s="23"/>
      <c r="E7" s="24">
        <f t="shared" si="0"/>
        <v>0</v>
      </c>
      <c r="F7" s="141"/>
      <c r="G7" s="25"/>
      <c r="H7" s="26">
        <f t="shared" si="1"/>
        <v>0</v>
      </c>
      <c r="I7" s="27">
        <f t="shared" si="2"/>
        <v>0</v>
      </c>
      <c r="J7" s="28">
        <f t="shared" si="3"/>
        <v>0</v>
      </c>
      <c r="K7" s="29">
        <f t="shared" si="4"/>
        <v>0</v>
      </c>
      <c r="L7" s="30">
        <f t="shared" si="5"/>
        <v>0</v>
      </c>
      <c r="M7" s="116"/>
      <c r="N7" s="118"/>
    </row>
    <row r="8" spans="1:14" s="11" customFormat="1" ht="15" x14ac:dyDescent="0.25">
      <c r="B8" s="12" t="s">
        <v>27</v>
      </c>
      <c r="C8" s="22"/>
      <c r="D8" s="23"/>
      <c r="E8" s="24">
        <f t="shared" si="0"/>
        <v>0</v>
      </c>
      <c r="F8" s="141"/>
      <c r="G8" s="25"/>
      <c r="H8" s="26">
        <f t="shared" si="1"/>
        <v>0</v>
      </c>
      <c r="I8" s="27">
        <f t="shared" si="2"/>
        <v>0</v>
      </c>
      <c r="J8" s="28">
        <f t="shared" si="3"/>
        <v>0</v>
      </c>
      <c r="K8" s="29">
        <f t="shared" si="4"/>
        <v>0</v>
      </c>
      <c r="L8" s="30">
        <f t="shared" si="5"/>
        <v>0</v>
      </c>
      <c r="M8" s="116"/>
      <c r="N8" s="118"/>
    </row>
    <row r="9" spans="1:14" s="11" customFormat="1" ht="15" x14ac:dyDescent="0.25">
      <c r="B9" s="12" t="s">
        <v>28</v>
      </c>
      <c r="C9" s="22"/>
      <c r="D9" s="23"/>
      <c r="E9" s="24">
        <f t="shared" si="0"/>
        <v>0</v>
      </c>
      <c r="F9" s="141"/>
      <c r="G9" s="25"/>
      <c r="H9" s="26">
        <f t="shared" si="1"/>
        <v>0</v>
      </c>
      <c r="I9" s="27">
        <f t="shared" si="2"/>
        <v>0</v>
      </c>
      <c r="J9" s="28">
        <f t="shared" si="3"/>
        <v>0</v>
      </c>
      <c r="K9" s="29">
        <f t="shared" si="4"/>
        <v>0</v>
      </c>
      <c r="L9" s="30">
        <f t="shared" si="5"/>
        <v>0</v>
      </c>
      <c r="M9" s="116"/>
      <c r="N9" s="118"/>
    </row>
    <row r="10" spans="1:14" s="11" customFormat="1" ht="15" x14ac:dyDescent="0.25">
      <c r="A10" s="11" t="s">
        <v>15</v>
      </c>
      <c r="B10" s="12" t="s">
        <v>29</v>
      </c>
      <c r="C10" s="22"/>
      <c r="D10" s="23"/>
      <c r="E10" s="24">
        <f t="shared" si="0"/>
        <v>0</v>
      </c>
      <c r="F10" s="141"/>
      <c r="G10" s="25"/>
      <c r="H10" s="26">
        <f t="shared" si="1"/>
        <v>0</v>
      </c>
      <c r="I10" s="27">
        <f t="shared" si="2"/>
        <v>0</v>
      </c>
      <c r="J10" s="28">
        <f t="shared" si="3"/>
        <v>0</v>
      </c>
      <c r="K10" s="29">
        <f t="shared" si="4"/>
        <v>0</v>
      </c>
      <c r="L10" s="30">
        <f t="shared" si="5"/>
        <v>0</v>
      </c>
      <c r="M10" s="116"/>
      <c r="N10" s="118"/>
    </row>
    <row r="11" spans="1:14" s="11" customFormat="1" ht="15" x14ac:dyDescent="0.25">
      <c r="B11" s="12" t="s">
        <v>30</v>
      </c>
      <c r="C11" s="22"/>
      <c r="D11" s="23"/>
      <c r="E11" s="24">
        <f t="shared" si="0"/>
        <v>0</v>
      </c>
      <c r="F11" s="141"/>
      <c r="G11" s="25"/>
      <c r="H11" s="26">
        <f t="shared" si="1"/>
        <v>0</v>
      </c>
      <c r="I11" s="27">
        <f t="shared" si="2"/>
        <v>0</v>
      </c>
      <c r="J11" s="28">
        <f t="shared" si="3"/>
        <v>0</v>
      </c>
      <c r="K11" s="29">
        <f t="shared" si="4"/>
        <v>0</v>
      </c>
      <c r="L11" s="30">
        <f t="shared" si="5"/>
        <v>0</v>
      </c>
      <c r="M11" s="116"/>
      <c r="N11" s="118"/>
    </row>
    <row r="12" spans="1:14" s="11" customFormat="1" ht="15.75" thickBot="1" x14ac:dyDescent="0.3">
      <c r="B12" s="31" t="s">
        <v>31</v>
      </c>
      <c r="C12" s="32"/>
      <c r="D12" s="33"/>
      <c r="E12" s="34">
        <f t="shared" si="0"/>
        <v>0</v>
      </c>
      <c r="F12" s="182"/>
      <c r="G12" s="35"/>
      <c r="H12" s="36">
        <f t="shared" si="1"/>
        <v>0</v>
      </c>
      <c r="I12" s="37">
        <f t="shared" si="2"/>
        <v>0</v>
      </c>
      <c r="J12" s="38">
        <f t="shared" si="3"/>
        <v>0</v>
      </c>
      <c r="K12" s="39">
        <f t="shared" si="4"/>
        <v>0</v>
      </c>
      <c r="L12" s="40">
        <f t="shared" si="5"/>
        <v>0</v>
      </c>
      <c r="M12" s="183"/>
      <c r="N12" s="184"/>
    </row>
    <row r="13" spans="1:14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.9" customHeight="1" thickBo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7" thickBot="1" x14ac:dyDescent="0.35">
      <c r="A16" s="2"/>
      <c r="B16" s="2"/>
      <c r="C16" s="2"/>
      <c r="D16" s="119" t="s">
        <v>9</v>
      </c>
      <c r="E16" s="120"/>
      <c r="F16" s="120"/>
      <c r="G16" s="121"/>
      <c r="H16" s="2"/>
      <c r="I16" s="2"/>
      <c r="J16" s="2"/>
      <c r="K16" s="2"/>
      <c r="L16" s="2"/>
      <c r="M16" s="2"/>
      <c r="N16" s="2"/>
    </row>
    <row r="17" spans="1:14" ht="18.75" x14ac:dyDescent="0.3">
      <c r="A17" s="2"/>
      <c r="B17" s="2"/>
      <c r="C17" s="2"/>
      <c r="D17" s="125" t="s">
        <v>10</v>
      </c>
      <c r="E17" s="126"/>
      <c r="F17" s="127"/>
      <c r="G17" s="7">
        <v>0.1</v>
      </c>
      <c r="H17" s="3"/>
      <c r="I17" s="4"/>
      <c r="J17" s="2"/>
      <c r="K17" s="2"/>
      <c r="L17" s="2"/>
      <c r="M17" s="2"/>
      <c r="N17" s="2"/>
    </row>
    <row r="18" spans="1:14" ht="18.75" x14ac:dyDescent="0.3">
      <c r="A18" s="2"/>
      <c r="B18" s="2"/>
      <c r="C18" s="2"/>
      <c r="D18" s="128" t="s">
        <v>11</v>
      </c>
      <c r="E18" s="129"/>
      <c r="F18" s="130"/>
      <c r="G18" s="8">
        <f>SUM(G5:G12)/(660/G19)*2.2*12</f>
        <v>0</v>
      </c>
      <c r="H18" s="5"/>
      <c r="I18" s="2"/>
      <c r="J18" s="2"/>
      <c r="K18" s="2"/>
      <c r="L18" s="2"/>
      <c r="M18" s="2"/>
      <c r="N18" s="2"/>
    </row>
    <row r="19" spans="1:14" ht="18.75" x14ac:dyDescent="0.3">
      <c r="A19" s="2"/>
      <c r="B19" s="2"/>
      <c r="C19" s="2"/>
      <c r="D19" s="128" t="s">
        <v>12</v>
      </c>
      <c r="E19" s="129"/>
      <c r="F19" s="130"/>
      <c r="G19" s="9">
        <v>5</v>
      </c>
      <c r="H19" s="5"/>
      <c r="I19" s="2"/>
      <c r="J19" s="2"/>
      <c r="K19" s="2"/>
      <c r="L19" s="2"/>
      <c r="M19" s="2"/>
      <c r="N19" s="2"/>
    </row>
    <row r="20" spans="1:14" ht="19.5" thickBot="1" x14ac:dyDescent="0.35">
      <c r="A20" s="2"/>
      <c r="B20" s="2"/>
      <c r="C20" s="2"/>
      <c r="D20" s="131" t="s">
        <v>13</v>
      </c>
      <c r="E20" s="132"/>
      <c r="F20" s="133"/>
      <c r="G20" s="10">
        <v>0.25</v>
      </c>
      <c r="H20" s="3"/>
      <c r="I20" s="4"/>
      <c r="J20" s="2"/>
      <c r="K20" s="2"/>
      <c r="L20" s="2"/>
      <c r="M20" s="2"/>
      <c r="N20" s="2"/>
    </row>
    <row r="23" spans="1:14" x14ac:dyDescent="0.3">
      <c r="J23" s="6"/>
    </row>
    <row r="24" spans="1:14" x14ac:dyDescent="0.3">
      <c r="J24" s="6"/>
    </row>
    <row r="25" spans="1:14" x14ac:dyDescent="0.3">
      <c r="J25" s="6"/>
    </row>
    <row r="26" spans="1:14" x14ac:dyDescent="0.3">
      <c r="J26" s="6"/>
    </row>
    <row r="27" spans="1:14" x14ac:dyDescent="0.3">
      <c r="J27" s="6"/>
    </row>
    <row r="28" spans="1:14" x14ac:dyDescent="0.3">
      <c r="J28" s="6"/>
    </row>
    <row r="29" spans="1:14" x14ac:dyDescent="0.3">
      <c r="J29" s="6"/>
    </row>
    <row r="30" spans="1:14" x14ac:dyDescent="0.3">
      <c r="J30" s="6"/>
    </row>
  </sheetData>
  <mergeCells count="10">
    <mergeCell ref="D17:F17"/>
    <mergeCell ref="D18:F18"/>
    <mergeCell ref="D19:F19"/>
    <mergeCell ref="D20:F20"/>
    <mergeCell ref="C2:G3"/>
    <mergeCell ref="H2:N3"/>
    <mergeCell ref="F5:F12"/>
    <mergeCell ref="M5:M12"/>
    <mergeCell ref="N5:N12"/>
    <mergeCell ref="D16:G1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ROI Calculator_ 4 Wine Example</vt:lpstr>
      <vt:lpstr>ROI Calculator_8 Wine Example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mnhalvorson</dc:creator>
  <cp:lastModifiedBy>Shannon</cp:lastModifiedBy>
  <cp:lastPrinted>2016-10-27T17:57:50Z</cp:lastPrinted>
  <dcterms:created xsi:type="dcterms:W3CDTF">2016-03-31T18:39:20Z</dcterms:created>
  <dcterms:modified xsi:type="dcterms:W3CDTF">2017-01-19T20:57:10Z</dcterms:modified>
</cp:coreProperties>
</file>